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rinal\Desktop\RINALDI &amp; PARTNERS\IMPRESA EVOLUTION\LIBRO IMPRESA EVOLUTION\BOOKNESS\BONUS E REGALO EVOLUZIONE IMPRESA\"/>
    </mc:Choice>
  </mc:AlternateContent>
  <xr:revisionPtr revIDLastSave="0" documentId="8_{0C689306-9243-47D2-A1F2-D04CB6D53D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</workbook>
</file>

<file path=xl/calcChain.xml><?xml version="1.0" encoding="utf-8"?>
<calcChain xmlns="http://schemas.openxmlformats.org/spreadsheetml/2006/main">
  <c r="H46" i="1" l="1"/>
  <c r="G46" i="1"/>
  <c r="G43" i="1"/>
  <c r="R41" i="1"/>
  <c r="Q41" i="1"/>
  <c r="P41" i="1"/>
  <c r="O41" i="1"/>
  <c r="N41" i="1"/>
  <c r="M41" i="1"/>
  <c r="L41" i="1"/>
  <c r="K41" i="1"/>
  <c r="J41" i="1"/>
  <c r="I41" i="1"/>
  <c r="H41" i="1"/>
  <c r="G41" i="1"/>
  <c r="S41" i="1" s="1"/>
  <c r="R39" i="1"/>
  <c r="Q39" i="1"/>
  <c r="P39" i="1"/>
  <c r="O39" i="1"/>
  <c r="N39" i="1"/>
  <c r="M39" i="1"/>
  <c r="L39" i="1"/>
  <c r="K39" i="1"/>
  <c r="J39" i="1"/>
  <c r="I39" i="1"/>
  <c r="H39" i="1"/>
  <c r="G39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R36" i="1"/>
  <c r="R50" i="1" s="1"/>
  <c r="Q36" i="1"/>
  <c r="Q50" i="1" s="1"/>
  <c r="P36" i="1"/>
  <c r="P50" i="1" s="1"/>
  <c r="O36" i="1"/>
  <c r="O50" i="1" s="1"/>
  <c r="N36" i="1"/>
  <c r="N50" i="1" s="1"/>
  <c r="M36" i="1"/>
  <c r="M50" i="1" s="1"/>
  <c r="L36" i="1"/>
  <c r="L50" i="1" s="1"/>
  <c r="K36" i="1"/>
  <c r="K50" i="1" s="1"/>
  <c r="J36" i="1"/>
  <c r="J50" i="1" s="1"/>
  <c r="I36" i="1"/>
  <c r="I50" i="1" s="1"/>
  <c r="H36" i="1"/>
  <c r="H50" i="1" s="1"/>
  <c r="G36" i="1"/>
  <c r="G50" i="1" s="1"/>
  <c r="S35" i="1"/>
  <c r="H34" i="1"/>
  <c r="H47" i="1" s="1"/>
  <c r="G34" i="1"/>
  <c r="I33" i="1"/>
  <c r="C16" i="1"/>
  <c r="R14" i="1"/>
  <c r="Q14" i="1"/>
  <c r="P14" i="1"/>
  <c r="O14" i="1"/>
  <c r="N14" i="1"/>
  <c r="M14" i="1"/>
  <c r="L14" i="1"/>
  <c r="K14" i="1"/>
  <c r="J14" i="1"/>
  <c r="I14" i="1"/>
  <c r="H14" i="1"/>
  <c r="G14" i="1"/>
  <c r="R12" i="1"/>
  <c r="Q12" i="1"/>
  <c r="P12" i="1"/>
  <c r="O12" i="1"/>
  <c r="N12" i="1"/>
  <c r="M12" i="1"/>
  <c r="L12" i="1"/>
  <c r="K12" i="1"/>
  <c r="J12" i="1"/>
  <c r="I12" i="1"/>
  <c r="H12" i="1"/>
  <c r="G12" i="1"/>
  <c r="S12" i="1" s="1"/>
  <c r="R10" i="1"/>
  <c r="Q10" i="1"/>
  <c r="P10" i="1"/>
  <c r="O10" i="1"/>
  <c r="N10" i="1"/>
  <c r="M10" i="1"/>
  <c r="L10" i="1"/>
  <c r="K10" i="1"/>
  <c r="J10" i="1"/>
  <c r="I10" i="1"/>
  <c r="H10" i="1"/>
  <c r="G10" i="1"/>
  <c r="R9" i="1"/>
  <c r="Q9" i="1"/>
  <c r="P9" i="1"/>
  <c r="O9" i="1"/>
  <c r="N9" i="1"/>
  <c r="M9" i="1"/>
  <c r="L9" i="1"/>
  <c r="K9" i="1"/>
  <c r="J9" i="1"/>
  <c r="I9" i="1"/>
  <c r="H9" i="1"/>
  <c r="G9" i="1"/>
  <c r="R8" i="1"/>
  <c r="R23" i="1" s="1"/>
  <c r="Q8" i="1"/>
  <c r="Q23" i="1" s="1"/>
  <c r="P8" i="1"/>
  <c r="O8" i="1"/>
  <c r="N8" i="1"/>
  <c r="M8" i="1"/>
  <c r="M23" i="1" s="1"/>
  <c r="L8" i="1"/>
  <c r="K8" i="1"/>
  <c r="J8" i="1"/>
  <c r="J23" i="1" s="1"/>
  <c r="I8" i="1"/>
  <c r="H8" i="1"/>
  <c r="G8" i="1"/>
  <c r="D7" i="1"/>
  <c r="D6" i="1"/>
  <c r="C21" i="1" s="1"/>
  <c r="M6" i="1" s="1"/>
  <c r="M33" i="1" s="1"/>
  <c r="R5" i="1"/>
  <c r="Q5" i="1"/>
  <c r="P5" i="1"/>
  <c r="O5" i="1"/>
  <c r="N5" i="1"/>
  <c r="M5" i="1"/>
  <c r="L5" i="1"/>
  <c r="K5" i="1"/>
  <c r="J5" i="1"/>
  <c r="I5" i="1"/>
  <c r="I6" i="1" s="1"/>
  <c r="H5" i="1"/>
  <c r="G5" i="1"/>
  <c r="I23" i="1" l="1"/>
  <c r="L7" i="1"/>
  <c r="L11" i="1" s="1"/>
  <c r="L13" i="1" s="1"/>
  <c r="L21" i="1" s="1"/>
  <c r="N23" i="1"/>
  <c r="S37" i="1"/>
  <c r="H7" i="1"/>
  <c r="H11" i="1" s="1"/>
  <c r="H13" i="1" s="1"/>
  <c r="H15" i="1" s="1"/>
  <c r="H16" i="1" s="1"/>
  <c r="H17" i="1" s="1"/>
  <c r="H6" i="1"/>
  <c r="H19" i="1" s="1"/>
  <c r="P6" i="1"/>
  <c r="P33" i="1" s="1"/>
  <c r="L6" i="1"/>
  <c r="L33" i="1" s="1"/>
  <c r="G23" i="1"/>
  <c r="K23" i="1"/>
  <c r="O23" i="1"/>
  <c r="S9" i="1"/>
  <c r="K32" i="1"/>
  <c r="O6" i="1"/>
  <c r="O33" i="1" s="1"/>
  <c r="I19" i="1"/>
  <c r="M32" i="1"/>
  <c r="M46" i="1" s="1"/>
  <c r="M19" i="1"/>
  <c r="Q32" i="1"/>
  <c r="G6" i="1"/>
  <c r="Q6" i="1"/>
  <c r="S10" i="1"/>
  <c r="G47" i="1"/>
  <c r="G38" i="1"/>
  <c r="O32" i="1"/>
  <c r="I43" i="1"/>
  <c r="J43" i="1"/>
  <c r="I34" i="1"/>
  <c r="I46" i="1"/>
  <c r="M7" i="1"/>
  <c r="S5" i="1"/>
  <c r="L20" i="1"/>
  <c r="K6" i="1"/>
  <c r="K33" i="1" s="1"/>
  <c r="I7" i="1"/>
  <c r="S8" i="1"/>
  <c r="S14" i="1"/>
  <c r="J32" i="1"/>
  <c r="N32" i="1"/>
  <c r="R32" i="1"/>
  <c r="H23" i="1"/>
  <c r="L23" i="1"/>
  <c r="P23" i="1"/>
  <c r="P32" i="1"/>
  <c r="P46" i="1" s="1"/>
  <c r="L32" i="1"/>
  <c r="H38" i="1"/>
  <c r="H40" i="1" s="1"/>
  <c r="J6" i="1"/>
  <c r="J33" i="1" s="1"/>
  <c r="N6" i="1"/>
  <c r="N33" i="1" s="1"/>
  <c r="R6" i="1"/>
  <c r="R33" i="1" s="1"/>
  <c r="P7" i="1"/>
  <c r="S36" i="1"/>
  <c r="S50" i="1" s="1"/>
  <c r="S23" i="1" l="1"/>
  <c r="H21" i="1"/>
  <c r="P43" i="1"/>
  <c r="R46" i="1"/>
  <c r="H20" i="1"/>
  <c r="L15" i="1"/>
  <c r="L19" i="1"/>
  <c r="P19" i="1"/>
  <c r="R19" i="1"/>
  <c r="L43" i="1"/>
  <c r="J46" i="1"/>
  <c r="N19" i="1"/>
  <c r="N7" i="1"/>
  <c r="M43" i="1"/>
  <c r="I20" i="1"/>
  <c r="I11" i="1"/>
  <c r="I13" i="1" s="1"/>
  <c r="I38" i="1"/>
  <c r="I40" i="1" s="1"/>
  <c r="I47" i="1"/>
  <c r="O34" i="1"/>
  <c r="G40" i="1"/>
  <c r="K7" i="1"/>
  <c r="S6" i="1"/>
  <c r="O46" i="1"/>
  <c r="K34" i="1"/>
  <c r="G19" i="1"/>
  <c r="P20" i="1"/>
  <c r="P11" i="1"/>
  <c r="P13" i="1" s="1"/>
  <c r="H42" i="1"/>
  <c r="H44" i="1" s="1"/>
  <c r="H48" i="1"/>
  <c r="J19" i="1"/>
  <c r="J7" i="1"/>
  <c r="N34" i="1"/>
  <c r="S19" i="1"/>
  <c r="S7" i="1"/>
  <c r="Q33" i="1"/>
  <c r="S33" i="1" s="1"/>
  <c r="Q7" i="1"/>
  <c r="Q19" i="1"/>
  <c r="M34" i="1"/>
  <c r="O7" i="1"/>
  <c r="K19" i="1"/>
  <c r="L34" i="1"/>
  <c r="P34" i="1"/>
  <c r="Q43" i="1"/>
  <c r="M20" i="1"/>
  <c r="M11" i="1"/>
  <c r="M13" i="1" s="1"/>
  <c r="L16" i="1"/>
  <c r="L17" i="1" s="1"/>
  <c r="L46" i="1"/>
  <c r="N46" i="1"/>
  <c r="R7" i="1"/>
  <c r="R34" i="1"/>
  <c r="J34" i="1"/>
  <c r="S32" i="1"/>
  <c r="K46" i="1"/>
  <c r="O19" i="1"/>
  <c r="G7" i="1"/>
  <c r="S46" i="1" l="1"/>
  <c r="S20" i="1"/>
  <c r="T7" i="1"/>
  <c r="G22" i="1" s="1"/>
  <c r="N47" i="1"/>
  <c r="N38" i="1"/>
  <c r="N40" i="1" s="1"/>
  <c r="G48" i="1"/>
  <c r="G42" i="1"/>
  <c r="J20" i="1"/>
  <c r="J11" i="1"/>
  <c r="J13" i="1" s="1"/>
  <c r="N43" i="1"/>
  <c r="K47" i="1"/>
  <c r="K38" i="1"/>
  <c r="K40" i="1" s="1"/>
  <c r="I48" i="1"/>
  <c r="I42" i="1"/>
  <c r="I44" i="1" s="1"/>
  <c r="S34" i="1"/>
  <c r="R47" i="1"/>
  <c r="R38" i="1"/>
  <c r="R40" i="1" s="1"/>
  <c r="Q34" i="1"/>
  <c r="K11" i="1"/>
  <c r="K13" i="1" s="1"/>
  <c r="O43" i="1"/>
  <c r="K20" i="1"/>
  <c r="O47" i="1"/>
  <c r="O38" i="1"/>
  <c r="O40" i="1" s="1"/>
  <c r="I15" i="1"/>
  <c r="I21" i="1"/>
  <c r="G11" i="1"/>
  <c r="K43" i="1"/>
  <c r="G20" i="1"/>
  <c r="L47" i="1"/>
  <c r="L38" i="1"/>
  <c r="L40" i="1" s="1"/>
  <c r="M38" i="1"/>
  <c r="M40" i="1" s="1"/>
  <c r="M47" i="1"/>
  <c r="Q20" i="1"/>
  <c r="Q11" i="1"/>
  <c r="Q13" i="1" s="1"/>
  <c r="M15" i="1"/>
  <c r="M21" i="1"/>
  <c r="P47" i="1"/>
  <c r="P38" i="1"/>
  <c r="P40" i="1" s="1"/>
  <c r="Q46" i="1"/>
  <c r="P15" i="1"/>
  <c r="P21" i="1"/>
  <c r="R43" i="1"/>
  <c r="N20" i="1"/>
  <c r="N11" i="1"/>
  <c r="N13" i="1" s="1"/>
  <c r="J47" i="1"/>
  <c r="J38" i="1"/>
  <c r="J40" i="1" s="1"/>
  <c r="R20" i="1"/>
  <c r="R11" i="1"/>
  <c r="R13" i="1" s="1"/>
  <c r="O11" i="1"/>
  <c r="O13" i="1" s="1"/>
  <c r="O20" i="1"/>
  <c r="Q38" i="1" l="1"/>
  <c r="Q47" i="1"/>
  <c r="S47" i="1"/>
  <c r="T34" i="1"/>
  <c r="G49" i="1" s="1"/>
  <c r="G44" i="1"/>
  <c r="R15" i="1"/>
  <c r="R21" i="1"/>
  <c r="R42" i="1"/>
  <c r="R44" i="1" s="1"/>
  <c r="R48" i="1"/>
  <c r="O15" i="1"/>
  <c r="O21" i="1"/>
  <c r="N15" i="1"/>
  <c r="N21" i="1"/>
  <c r="P16" i="1"/>
  <c r="P17" i="1" s="1"/>
  <c r="M16" i="1"/>
  <c r="M17" i="1" s="1"/>
  <c r="M42" i="1"/>
  <c r="M44" i="1" s="1"/>
  <c r="M48" i="1"/>
  <c r="S43" i="1"/>
  <c r="I16" i="1"/>
  <c r="I17" i="1" s="1"/>
  <c r="J15" i="1"/>
  <c r="J21" i="1"/>
  <c r="J42" i="1"/>
  <c r="J44" i="1" s="1"/>
  <c r="J48" i="1"/>
  <c r="P42" i="1"/>
  <c r="P44" i="1" s="1"/>
  <c r="P48" i="1"/>
  <c r="Q15" i="1"/>
  <c r="Q21" i="1"/>
  <c r="L42" i="1"/>
  <c r="L44" i="1" s="1"/>
  <c r="L48" i="1"/>
  <c r="S11" i="1"/>
  <c r="G13" i="1"/>
  <c r="O42" i="1"/>
  <c r="O44" i="1" s="1"/>
  <c r="O48" i="1"/>
  <c r="K15" i="1"/>
  <c r="K21" i="1"/>
  <c r="K42" i="1"/>
  <c r="K44" i="1" s="1"/>
  <c r="K48" i="1"/>
  <c r="N42" i="1"/>
  <c r="N44" i="1" s="1"/>
  <c r="N48" i="1"/>
  <c r="J16" i="1" l="1"/>
  <c r="J17" i="1" s="1"/>
  <c r="Q40" i="1"/>
  <c r="S38" i="1"/>
  <c r="K16" i="1"/>
  <c r="K17" i="1" s="1"/>
  <c r="O16" i="1"/>
  <c r="O17" i="1" s="1"/>
  <c r="N16" i="1"/>
  <c r="N17" i="1" s="1"/>
  <c r="Q16" i="1"/>
  <c r="Q17" i="1" s="1"/>
  <c r="G15" i="1"/>
  <c r="S13" i="1"/>
  <c r="S21" i="1" s="1"/>
  <c r="G21" i="1"/>
  <c r="R16" i="1"/>
  <c r="R17" i="1" s="1"/>
  <c r="Q42" i="1" l="1"/>
  <c r="Q48" i="1"/>
  <c r="S40" i="1"/>
  <c r="S48" i="1" s="1"/>
  <c r="S15" i="1"/>
  <c r="G16" i="1"/>
  <c r="S16" i="1" s="1"/>
  <c r="G17" i="1" l="1"/>
  <c r="S17" i="1" s="1"/>
  <c r="Q44" i="1"/>
  <c r="S44" i="1" s="1"/>
  <c r="S42" i="1"/>
</calcChain>
</file>

<file path=xl/sharedStrings.xml><?xml version="1.0" encoding="utf-8"?>
<sst xmlns="http://schemas.openxmlformats.org/spreadsheetml/2006/main" count="132" uniqueCount="47">
  <si>
    <t>PREVISIONE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</si>
  <si>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</si>
  <si>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</si>
  <si>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</si>
  <si>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</si>
  <si>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</si>
  <si>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</si>
  <si>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</si>
  <si>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</si>
  <si>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</si>
  <si>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</si>
  <si>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</si>
  <si>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</si>
  <si>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 2022</t>
  </si>
  <si>
    <t>Ricavi</t>
  </si>
  <si>
    <t>Acquisiti</t>
  </si>
  <si>
    <t>Costo venduto</t>
  </si>
  <si>
    <t>Margine di contribuzione</t>
  </si>
  <si>
    <t>Costo personale</t>
  </si>
  <si>
    <t>Costo fig. titolari</t>
  </si>
  <si>
    <t>Costo fig. titolare</t>
  </si>
  <si>
    <t>Altri costi fissi</t>
  </si>
  <si>
    <t>MOL (Ebitda)</t>
  </si>
  <si>
    <t>Ebitda (Mol)</t>
  </si>
  <si>
    <t>Ammortamenti</t>
  </si>
  <si>
    <t>Reddito operativo (Ebit)</t>
  </si>
  <si>
    <t>Interessi passivi</t>
  </si>
  <si>
    <t>Reddito ante imposte</t>
  </si>
  <si>
    <t>Risultato ante imposte</t>
  </si>
  <si>
    <t>Imposte</t>
  </si>
  <si>
    <t>Reddito netto</t>
  </si>
  <si>
    <t>% Costo venduto su fatturato</t>
  </si>
  <si>
    <t>% Mdc su fatturato</t>
  </si>
  <si>
    <t>Costo del venduto</t>
  </si>
  <si>
    <t>Ros</t>
  </si>
  <si>
    <t>Proviggioni</t>
  </si>
  <si>
    <t>Bep</t>
  </si>
  <si>
    <t>Margine di Contribuzione di Pareggio</t>
  </si>
  <si>
    <t>Interessi Passivi</t>
  </si>
  <si>
    <t>Formula già impostata</t>
  </si>
  <si>
    <t>REALE</t>
  </si>
  <si>
    <t>RIEPILOGO DATI AL 31/12/22</t>
  </si>
  <si>
    <t>DATI PER COSTRUZIONE BUDGET 2023</t>
  </si>
  <si>
    <t>BUDGET 2023</t>
  </si>
  <si>
    <t xml:space="preserve"> 2022 + 17%</t>
  </si>
  <si>
    <t>Come 2022</t>
  </si>
  <si>
    <t>CONTO ECONOMICO RICLASSIFICATO PREVISIONALE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</si>
</sst>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15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i/>
      <sz val="10"/>
      <color theme="1"/>
      <name val="Arial"/>
      <family val="2"/>
      <scheme val="minor"/>
    </font>
    <font>
      <b/>
      <sz val="11"/>
      <color rgb="FF000000"/>
      <name val="Arial"/>
      <family val="2"/>
    </font>
    <font>
      <i/>
      <sz val="11"/>
      <color theme="1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sz val="10"/>
      <color theme="1"/>
      <name val="Arial"/>
      <family val="2"/>
      <scheme val="minor"/>
    </font>
    <font>
      <i/>
      <sz val="9"/>
      <color rgb="FF000000"/>
      <name val="Arial"/>
      <family val="2"/>
    </font>
    <font>
      <b/>
      <i/>
      <sz val="10"/>
      <color theme="1"/>
      <name val="Arial"/>
      <family val="2"/>
      <scheme val="minor"/>
    </font>
    <font>
      <b/>
      <i/>
      <sz val="9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9999"/>
        <bgColor rgb="FFFF9999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theme="0"/>
      </patternFill>
    </fill>
    <fill>
      <patternFill patternType="solid">
        <fgColor rgb="FFB6D7A8"/>
        <bgColor rgb="FFB6D7A8"/>
      </patternFill>
    </fill>
    <fill>
      <patternFill patternType="solid">
        <fgColor rgb="FFD0E0E3"/>
        <bgColor rgb="FFD0E0E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64" fontId="6" fillId="3" borderId="0" xfId="0" applyNumberFormat="1" applyFont="1" applyFill="1" applyAlignment="1">
      <alignment horizontal="right"/>
    </xf>
    <xf numFmtId="164" fontId="6" fillId="4" borderId="0" xfId="0" applyNumberFormat="1" applyFont="1" applyFill="1" applyAlignment="1">
      <alignment horizontal="right"/>
    </xf>
    <xf numFmtId="10" fontId="5" fillId="0" borderId="0" xfId="0" applyNumberFormat="1" applyFont="1" applyAlignment="1">
      <alignment horizontal="left"/>
    </xf>
    <xf numFmtId="0" fontId="8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10" fontId="8" fillId="0" borderId="0" xfId="0" applyNumberFormat="1" applyFont="1" applyAlignment="1">
      <alignment horizontal="left"/>
    </xf>
    <xf numFmtId="164" fontId="4" fillId="4" borderId="0" xfId="0" applyNumberFormat="1" applyFont="1" applyFill="1" applyAlignment="1">
      <alignment horizontal="right"/>
    </xf>
    <xf numFmtId="10" fontId="9" fillId="0" borderId="0" xfId="0" applyNumberFormat="1" applyFont="1"/>
    <xf numFmtId="0" fontId="6" fillId="0" borderId="0" xfId="0" applyFont="1"/>
    <xf numFmtId="0" fontId="10" fillId="0" borderId="0" xfId="0" applyFont="1" applyAlignment="1">
      <alignment horizontal="right"/>
    </xf>
    <xf numFmtId="10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0" fontId="11" fillId="0" borderId="0" xfId="0" applyNumberFormat="1" applyFont="1" applyAlignment="1">
      <alignment horizontal="left"/>
    </xf>
    <xf numFmtId="9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164" fontId="9" fillId="0" borderId="0" xfId="0" applyNumberFormat="1" applyFont="1"/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164" fontId="13" fillId="4" borderId="0" xfId="0" applyNumberFormat="1" applyFont="1" applyFill="1" applyAlignment="1">
      <alignment horizontal="right"/>
    </xf>
    <xf numFmtId="164" fontId="14" fillId="4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0" fillId="0" borderId="0" xfId="0"/>
    <xf numFmtId="0" fontId="4" fillId="2" borderId="0" xfId="0" applyFont="1" applyFill="1" applyAlignment="1">
      <alignment horizontal="center"/>
    </xf>
  </cellXfs>
  <cellStyles count="1">
    <cellStyle name="Normale" xfId="0" builtinId="0"/>
  </cellStyles>
  <dxfs count="3">
    <dxf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T50"/>
  <sheetViews>
    <sheetView tabSelected="1" topLeftCell="A4" workbookViewId="0">
      <selection activeCell="I28" sqref="I28"/>
    </sheetView>
  </sheetViews>
  <sheetFormatPr defaultColWidth="12.5703125" defaultRowHeight="15.75" customHeight="1" outlineLevelCol="1" x14ac:dyDescent="0.2"/>
  <cols>
    <col min="1" max="4" width="22.5703125" customWidth="1" outlineLevel="1"/>
    <col min="5" max="5" width="22.5703125" customWidth="1"/>
    <col min="6" max="6" width="38.42578125" customWidth="1"/>
    <col min="7" max="7" width="14.5703125" customWidth="1"/>
    <col min="8" max="8" width="16.28515625" customWidth="1"/>
    <col min="9" max="9" width="14.5703125" customWidth="1"/>
    <col min="10" max="10" width="15.140625" customWidth="1"/>
    <col min="11" max="11" width="15.42578125" customWidth="1"/>
    <col min="12" max="13" width="14.85546875" customWidth="1"/>
    <col min="14" max="15" width="15.140625" customWidth="1"/>
    <col min="16" max="16" width="15.42578125" customWidth="1"/>
    <col min="17" max="17" width="15.5703125" customWidth="1"/>
    <col min="18" max="18" width="15.28515625" customWidth="1"/>
    <col min="19" max="19" width="15.85546875" customWidth="1"/>
  </cols>
  <sheetData>
    <row r="1" spans="1:20" ht="15.75" customHeight="1" x14ac:dyDescent="0.25">
      <c r="A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20" ht="15.75" customHeight="1" x14ac:dyDescent="0.25">
      <c r="A2" s="1"/>
      <c r="D2" s="1"/>
      <c r="E2" s="1"/>
      <c r="F2" s="1"/>
      <c r="G2" s="30" t="s">
        <v>43</v>
      </c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20" ht="15.75" customHeight="1" x14ac:dyDescent="0.25">
      <c r="A3" s="1"/>
      <c r="D3" s="1"/>
      <c r="E3" s="1"/>
      <c r="F3" s="1"/>
      <c r="G3" s="4" t="s">
        <v>0</v>
      </c>
      <c r="H3" s="4" t="s">
        <v>0</v>
      </c>
      <c r="I3" s="4" t="s">
        <v>0</v>
      </c>
      <c r="J3" s="4" t="s">
        <v>0</v>
      </c>
      <c r="K3" s="4" t="s">
        <v>0</v>
      </c>
      <c r="L3" s="4" t="s">
        <v>0</v>
      </c>
      <c r="M3" s="4" t="s">
        <v>0</v>
      </c>
      <c r="N3" s="4" t="s">
        <v>0</v>
      </c>
      <c r="O3" s="4" t="s">
        <v>0</v>
      </c>
      <c r="P3" s="4" t="s">
        <v>0</v>
      </c>
      <c r="Q3" s="4" t="s">
        <v>0</v>
      </c>
      <c r="R3" s="4" t="s">
        <v>0</v>
      </c>
      <c r="S3" s="3"/>
    </row>
    <row r="4" spans="1:20" ht="15.75" customHeight="1" x14ac:dyDescent="0.25">
      <c r="A4" s="1"/>
      <c r="B4" s="32" t="s">
        <v>41</v>
      </c>
      <c r="C4" s="31"/>
      <c r="D4" s="1"/>
      <c r="E4" s="1"/>
      <c r="F4" s="1"/>
      <c r="G4" s="5" t="s">
        <v>1</v>
      </c>
      <c r="H4" s="5" t="s">
        <v>2</v>
      </c>
      <c r="I4" s="5" t="s">
        <v>3</v>
      </c>
      <c r="J4" s="5" t="s">
        <v>4</v>
      </c>
      <c r="K4" s="5" t="s">
        <v>5</v>
      </c>
      <c r="L4" s="5" t="s">
        <v>6</v>
      </c>
      <c r="M4" s="5" t="s">
        <v>7</v>
      </c>
      <c r="N4" s="5" t="s">
        <v>8</v>
      </c>
      <c r="O4" s="5" t="s">
        <v>9</v>
      </c>
      <c r="P4" s="5" t="s">
        <v>10</v>
      </c>
      <c r="Q4" s="5" t="s">
        <v>11</v>
      </c>
      <c r="R4" s="5" t="s">
        <v>12</v>
      </c>
      <c r="S4" s="5" t="s">
        <v>13</v>
      </c>
    </row>
    <row r="5" spans="1:20" ht="14.25" x14ac:dyDescent="0.2">
      <c r="A5" s="1"/>
      <c r="B5" s="6" t="s">
        <v>14</v>
      </c>
      <c r="C5" s="7">
        <v>1488711.8</v>
      </c>
      <c r="E5" s="8"/>
      <c r="F5" s="8" t="s">
        <v>14</v>
      </c>
      <c r="G5" s="9">
        <f t="shared" ref="G5:H5" si="0">G26*1.17</f>
        <v>183958.24589999998</v>
      </c>
      <c r="H5" s="9">
        <f t="shared" si="0"/>
        <v>141902.72459999999</v>
      </c>
      <c r="I5" s="9">
        <f>(SUM(G26:R26)-I26)/11</f>
        <v>134107.84727272729</v>
      </c>
      <c r="J5" s="9">
        <f>(SUM(G26:R26)-J26)/11</f>
        <v>133888.24000000002</v>
      </c>
      <c r="K5" s="9">
        <f t="shared" ref="K5:R5" si="1">K26*1.17</f>
        <v>165939.14609999998</v>
      </c>
      <c r="L5" s="9">
        <f t="shared" si="1"/>
        <v>157904.7795</v>
      </c>
      <c r="M5" s="9">
        <f t="shared" si="1"/>
        <v>186572.8566</v>
      </c>
      <c r="N5" s="9">
        <f t="shared" si="1"/>
        <v>133259.5251</v>
      </c>
      <c r="O5" s="9">
        <f t="shared" si="1"/>
        <v>153642.0717</v>
      </c>
      <c r="P5" s="9">
        <f t="shared" si="1"/>
        <v>190201.6116</v>
      </c>
      <c r="Q5" s="9">
        <f t="shared" si="1"/>
        <v>150346.7433</v>
      </c>
      <c r="R5" s="9">
        <f t="shared" si="1"/>
        <v>243589.13279999999</v>
      </c>
      <c r="S5" s="10">
        <f t="shared" ref="S5:S6" si="2">SUM(G5:R5)</f>
        <v>1975312.9244727271</v>
      </c>
    </row>
    <row r="6" spans="1:20" ht="14.25" x14ac:dyDescent="0.2">
      <c r="A6" s="1"/>
      <c r="B6" s="6" t="s">
        <v>15</v>
      </c>
      <c r="C6" s="7">
        <v>-963169.85</v>
      </c>
      <c r="D6" s="11">
        <f>-C6/C5</f>
        <v>0.64698207537550245</v>
      </c>
      <c r="E6" s="8"/>
      <c r="F6" s="8" t="s">
        <v>16</v>
      </c>
      <c r="G6" s="9">
        <f t="shared" ref="G6:R6" si="3">-G5*($C$21+$C$22)</f>
        <v>-128215.60000981901</v>
      </c>
      <c r="H6" s="9">
        <f t="shared" si="3"/>
        <v>-98903.655493146362</v>
      </c>
      <c r="I6" s="9">
        <f t="shared" si="3"/>
        <v>-93470.765716286391</v>
      </c>
      <c r="J6" s="9">
        <f t="shared" si="3"/>
        <v>-93317.703383573389</v>
      </c>
      <c r="K6" s="9">
        <f t="shared" si="3"/>
        <v>-115656.61043481671</v>
      </c>
      <c r="L6" s="9">
        <f t="shared" si="3"/>
        <v>-110056.80092762111</v>
      </c>
      <c r="M6" s="9">
        <f t="shared" si="3"/>
        <v>-130037.93680180401</v>
      </c>
      <c r="N6" s="9">
        <f t="shared" si="3"/>
        <v>-92879.500367751869</v>
      </c>
      <c r="O6" s="9">
        <f t="shared" si="3"/>
        <v>-107085.76999845776</v>
      </c>
      <c r="P6" s="9">
        <f t="shared" si="3"/>
        <v>-132567.11399273324</v>
      </c>
      <c r="Q6" s="9">
        <f t="shared" si="3"/>
        <v>-104788.98517118192</v>
      </c>
      <c r="R6" s="9">
        <f t="shared" si="3"/>
        <v>-169777.25931786289</v>
      </c>
      <c r="S6" s="10">
        <f t="shared" si="2"/>
        <v>-1376757.7016150544</v>
      </c>
    </row>
    <row r="7" spans="1:20" ht="15.75" customHeight="1" x14ac:dyDescent="0.25">
      <c r="A7" s="1"/>
      <c r="B7" s="12" t="s">
        <v>17</v>
      </c>
      <c r="C7" s="13">
        <v>525541.94999999995</v>
      </c>
      <c r="D7" s="14">
        <f>C7/C5</f>
        <v>0.35301792462449744</v>
      </c>
      <c r="E7" s="12"/>
      <c r="F7" s="12" t="s">
        <v>17</v>
      </c>
      <c r="G7" s="15">
        <f t="shared" ref="G7:R7" si="4">SUM(G5:G6)</f>
        <v>55742.645890180967</v>
      </c>
      <c r="H7" s="15">
        <f t="shared" si="4"/>
        <v>42999.069106853625</v>
      </c>
      <c r="I7" s="15">
        <f t="shared" si="4"/>
        <v>40637.081556440899</v>
      </c>
      <c r="J7" s="15">
        <f t="shared" si="4"/>
        <v>40570.536616426631</v>
      </c>
      <c r="K7" s="15">
        <f t="shared" si="4"/>
        <v>50282.53566518327</v>
      </c>
      <c r="L7" s="15">
        <f t="shared" si="4"/>
        <v>47847.978572378895</v>
      </c>
      <c r="M7" s="15">
        <f t="shared" si="4"/>
        <v>56534.919798195988</v>
      </c>
      <c r="N7" s="15">
        <f t="shared" si="4"/>
        <v>40380.02473224813</v>
      </c>
      <c r="O7" s="15">
        <f t="shared" si="4"/>
        <v>46556.301701542237</v>
      </c>
      <c r="P7" s="15">
        <f t="shared" si="4"/>
        <v>57634.497607266763</v>
      </c>
      <c r="Q7" s="15">
        <f t="shared" si="4"/>
        <v>45557.758128818081</v>
      </c>
      <c r="R7" s="15">
        <f t="shared" si="4"/>
        <v>73811.873482137104</v>
      </c>
      <c r="S7" s="15">
        <f>S5+S6</f>
        <v>598555.22285767272</v>
      </c>
      <c r="T7" s="16">
        <f>S7/S5</f>
        <v>0.30301792462449761</v>
      </c>
    </row>
    <row r="8" spans="1:20" ht="14.25" x14ac:dyDescent="0.2">
      <c r="A8" s="1"/>
      <c r="B8" s="6" t="s">
        <v>18</v>
      </c>
      <c r="C8" s="7">
        <v>-199534.06</v>
      </c>
      <c r="D8" s="6"/>
      <c r="E8" s="6"/>
      <c r="F8" s="6" t="s">
        <v>18</v>
      </c>
      <c r="G8" s="9">
        <f t="shared" ref="G8:R8" si="5">$C$8/12</f>
        <v>-16627.838333333333</v>
      </c>
      <c r="H8" s="9">
        <f t="shared" si="5"/>
        <v>-16627.838333333333</v>
      </c>
      <c r="I8" s="9">
        <f t="shared" si="5"/>
        <v>-16627.838333333333</v>
      </c>
      <c r="J8" s="9">
        <f t="shared" si="5"/>
        <v>-16627.838333333333</v>
      </c>
      <c r="K8" s="9">
        <f t="shared" si="5"/>
        <v>-16627.838333333333</v>
      </c>
      <c r="L8" s="9">
        <f t="shared" si="5"/>
        <v>-16627.838333333333</v>
      </c>
      <c r="M8" s="9">
        <f t="shared" si="5"/>
        <v>-16627.838333333333</v>
      </c>
      <c r="N8" s="9">
        <f t="shared" si="5"/>
        <v>-16627.838333333333</v>
      </c>
      <c r="O8" s="9">
        <f t="shared" si="5"/>
        <v>-16627.838333333333</v>
      </c>
      <c r="P8" s="9">
        <f t="shared" si="5"/>
        <v>-16627.838333333333</v>
      </c>
      <c r="Q8" s="9">
        <f t="shared" si="5"/>
        <v>-16627.838333333333</v>
      </c>
      <c r="R8" s="9">
        <f t="shared" si="5"/>
        <v>-16627.838333333333</v>
      </c>
      <c r="S8" s="10">
        <f t="shared" ref="S8:S17" si="6">SUM(G8:R8)</f>
        <v>-199534.05999999994</v>
      </c>
    </row>
    <row r="9" spans="1:20" ht="14.25" x14ac:dyDescent="0.2">
      <c r="A9" s="1"/>
      <c r="B9" s="6" t="s">
        <v>19</v>
      </c>
      <c r="C9" s="7">
        <v>-60000</v>
      </c>
      <c r="D9" s="12"/>
      <c r="E9" s="6"/>
      <c r="F9" s="6" t="s">
        <v>20</v>
      </c>
      <c r="G9" s="9">
        <f t="shared" ref="G9:R9" si="7">$C$9/12</f>
        <v>-5000</v>
      </c>
      <c r="H9" s="9">
        <f t="shared" si="7"/>
        <v>-5000</v>
      </c>
      <c r="I9" s="9">
        <f t="shared" si="7"/>
        <v>-5000</v>
      </c>
      <c r="J9" s="9">
        <f t="shared" si="7"/>
        <v>-5000</v>
      </c>
      <c r="K9" s="9">
        <f t="shared" si="7"/>
        <v>-5000</v>
      </c>
      <c r="L9" s="9">
        <f t="shared" si="7"/>
        <v>-5000</v>
      </c>
      <c r="M9" s="9">
        <f t="shared" si="7"/>
        <v>-5000</v>
      </c>
      <c r="N9" s="9">
        <f t="shared" si="7"/>
        <v>-5000</v>
      </c>
      <c r="O9" s="9">
        <f t="shared" si="7"/>
        <v>-5000</v>
      </c>
      <c r="P9" s="9">
        <f t="shared" si="7"/>
        <v>-5000</v>
      </c>
      <c r="Q9" s="9">
        <f t="shared" si="7"/>
        <v>-5000</v>
      </c>
      <c r="R9" s="9">
        <f t="shared" si="7"/>
        <v>-5000</v>
      </c>
      <c r="S9" s="10">
        <f t="shared" si="6"/>
        <v>-60000</v>
      </c>
    </row>
    <row r="10" spans="1:20" ht="14.25" x14ac:dyDescent="0.2">
      <c r="A10" s="1"/>
      <c r="B10" s="6" t="s">
        <v>21</v>
      </c>
      <c r="C10" s="7">
        <v>-149321.28</v>
      </c>
      <c r="D10" s="6"/>
      <c r="E10" s="6"/>
      <c r="F10" s="6" t="s">
        <v>21</v>
      </c>
      <c r="G10" s="9">
        <f t="shared" ref="G10:R10" si="8">$C$10/12</f>
        <v>-12443.44</v>
      </c>
      <c r="H10" s="9">
        <f t="shared" si="8"/>
        <v>-12443.44</v>
      </c>
      <c r="I10" s="9">
        <f t="shared" si="8"/>
        <v>-12443.44</v>
      </c>
      <c r="J10" s="9">
        <f t="shared" si="8"/>
        <v>-12443.44</v>
      </c>
      <c r="K10" s="9">
        <f t="shared" si="8"/>
        <v>-12443.44</v>
      </c>
      <c r="L10" s="9">
        <f t="shared" si="8"/>
        <v>-12443.44</v>
      </c>
      <c r="M10" s="9">
        <f t="shared" si="8"/>
        <v>-12443.44</v>
      </c>
      <c r="N10" s="9">
        <f t="shared" si="8"/>
        <v>-12443.44</v>
      </c>
      <c r="O10" s="9">
        <f t="shared" si="8"/>
        <v>-12443.44</v>
      </c>
      <c r="P10" s="9">
        <f t="shared" si="8"/>
        <v>-12443.44</v>
      </c>
      <c r="Q10" s="9">
        <f t="shared" si="8"/>
        <v>-12443.44</v>
      </c>
      <c r="R10" s="9">
        <f t="shared" si="8"/>
        <v>-12443.44</v>
      </c>
      <c r="S10" s="10">
        <f t="shared" si="6"/>
        <v>-149321.28</v>
      </c>
    </row>
    <row r="11" spans="1:20" ht="15.75" customHeight="1" x14ac:dyDescent="0.25">
      <c r="A11" s="1"/>
      <c r="B11" s="12" t="s">
        <v>22</v>
      </c>
      <c r="C11" s="13">
        <v>116686.61</v>
      </c>
      <c r="D11" s="12"/>
      <c r="E11" s="12"/>
      <c r="F11" s="12" t="s">
        <v>23</v>
      </c>
      <c r="G11" s="15">
        <f>SUM(G7:G10)</f>
        <v>21671.367556847632</v>
      </c>
      <c r="H11" s="15">
        <f>H7+H8+H9+H10</f>
        <v>8927.7907735202916</v>
      </c>
      <c r="I11" s="15">
        <f t="shared" ref="I11:R11" si="9">SUM(I7:I10)</f>
        <v>6565.8032231075649</v>
      </c>
      <c r="J11" s="15">
        <f t="shared" si="9"/>
        <v>6499.258283093297</v>
      </c>
      <c r="K11" s="15">
        <f t="shared" si="9"/>
        <v>16211.257331849936</v>
      </c>
      <c r="L11" s="15">
        <f t="shared" si="9"/>
        <v>13776.700239045562</v>
      </c>
      <c r="M11" s="15">
        <f t="shared" si="9"/>
        <v>22463.641464862652</v>
      </c>
      <c r="N11" s="15">
        <f t="shared" si="9"/>
        <v>6308.7463989147964</v>
      </c>
      <c r="O11" s="15">
        <f t="shared" si="9"/>
        <v>12485.023368208904</v>
      </c>
      <c r="P11" s="15">
        <f t="shared" si="9"/>
        <v>23563.219273933428</v>
      </c>
      <c r="Q11" s="15">
        <f t="shared" si="9"/>
        <v>11486.479795484747</v>
      </c>
      <c r="R11" s="15">
        <f t="shared" si="9"/>
        <v>39740.595148803768</v>
      </c>
      <c r="S11" s="15">
        <f t="shared" si="6"/>
        <v>189699.88285767258</v>
      </c>
    </row>
    <row r="12" spans="1:20" ht="14.25" x14ac:dyDescent="0.2">
      <c r="A12" s="1"/>
      <c r="B12" s="6" t="s">
        <v>24</v>
      </c>
      <c r="C12" s="7">
        <v>-27994.240000000002</v>
      </c>
      <c r="D12" s="6"/>
      <c r="E12" s="6"/>
      <c r="F12" s="6" t="s">
        <v>24</v>
      </c>
      <c r="G12" s="9">
        <f t="shared" ref="G12:R12" si="10">$C$12/12</f>
        <v>-2332.8533333333335</v>
      </c>
      <c r="H12" s="9">
        <f t="shared" si="10"/>
        <v>-2332.8533333333335</v>
      </c>
      <c r="I12" s="9">
        <f t="shared" si="10"/>
        <v>-2332.8533333333335</v>
      </c>
      <c r="J12" s="9">
        <f t="shared" si="10"/>
        <v>-2332.8533333333335</v>
      </c>
      <c r="K12" s="9">
        <f t="shared" si="10"/>
        <v>-2332.8533333333335</v>
      </c>
      <c r="L12" s="9">
        <f t="shared" si="10"/>
        <v>-2332.8533333333335</v>
      </c>
      <c r="M12" s="9">
        <f t="shared" si="10"/>
        <v>-2332.8533333333335</v>
      </c>
      <c r="N12" s="9">
        <f t="shared" si="10"/>
        <v>-2332.8533333333335</v>
      </c>
      <c r="O12" s="9">
        <f t="shared" si="10"/>
        <v>-2332.8533333333335</v>
      </c>
      <c r="P12" s="9">
        <f t="shared" si="10"/>
        <v>-2332.8533333333335</v>
      </c>
      <c r="Q12" s="9">
        <f t="shared" si="10"/>
        <v>-2332.8533333333335</v>
      </c>
      <c r="R12" s="9">
        <f t="shared" si="10"/>
        <v>-2332.8533333333335</v>
      </c>
      <c r="S12" s="10">
        <f t="shared" si="6"/>
        <v>-27994.239999999994</v>
      </c>
    </row>
    <row r="13" spans="1:20" ht="15.75" customHeight="1" x14ac:dyDescent="0.25">
      <c r="A13" s="1"/>
      <c r="B13" s="12" t="s">
        <v>25</v>
      </c>
      <c r="C13" s="13">
        <v>88692.37</v>
      </c>
      <c r="D13" s="12"/>
      <c r="E13" s="12"/>
      <c r="F13" s="12" t="s">
        <v>25</v>
      </c>
      <c r="G13" s="15">
        <f t="shared" ref="G13:R13" si="11">SUM(G11:G12)</f>
        <v>19338.514223514299</v>
      </c>
      <c r="H13" s="15">
        <f t="shared" si="11"/>
        <v>6594.9374401869582</v>
      </c>
      <c r="I13" s="15">
        <f t="shared" si="11"/>
        <v>4232.9498897742315</v>
      </c>
      <c r="J13" s="15">
        <f t="shared" si="11"/>
        <v>4166.4049497599635</v>
      </c>
      <c r="K13" s="15">
        <f t="shared" si="11"/>
        <v>13878.403998516602</v>
      </c>
      <c r="L13" s="15">
        <f t="shared" si="11"/>
        <v>11443.846905712227</v>
      </c>
      <c r="M13" s="15">
        <f t="shared" si="11"/>
        <v>20130.78813152932</v>
      </c>
      <c r="N13" s="15">
        <f t="shared" si="11"/>
        <v>3975.8930655814629</v>
      </c>
      <c r="O13" s="15">
        <f t="shared" si="11"/>
        <v>10152.170034875569</v>
      </c>
      <c r="P13" s="15">
        <f t="shared" si="11"/>
        <v>21230.365940600095</v>
      </c>
      <c r="Q13" s="15">
        <f t="shared" si="11"/>
        <v>9153.6264621514129</v>
      </c>
      <c r="R13" s="15">
        <f t="shared" si="11"/>
        <v>37407.741815470436</v>
      </c>
      <c r="S13" s="15">
        <f t="shared" si="6"/>
        <v>161705.64285767259</v>
      </c>
    </row>
    <row r="14" spans="1:20" ht="14.25" x14ac:dyDescent="0.2">
      <c r="A14" s="1"/>
      <c r="B14" s="6" t="s">
        <v>26</v>
      </c>
      <c r="C14" s="7">
        <v>-3224.88</v>
      </c>
      <c r="D14" s="6"/>
      <c r="E14" s="6"/>
      <c r="F14" s="6" t="s">
        <v>26</v>
      </c>
      <c r="G14" s="9">
        <f t="shared" ref="G14:R14" si="12">$C$14/12</f>
        <v>-268.74</v>
      </c>
      <c r="H14" s="9">
        <f t="shared" si="12"/>
        <v>-268.74</v>
      </c>
      <c r="I14" s="9">
        <f t="shared" si="12"/>
        <v>-268.74</v>
      </c>
      <c r="J14" s="9">
        <f t="shared" si="12"/>
        <v>-268.74</v>
      </c>
      <c r="K14" s="9">
        <f t="shared" si="12"/>
        <v>-268.74</v>
      </c>
      <c r="L14" s="9">
        <f t="shared" si="12"/>
        <v>-268.74</v>
      </c>
      <c r="M14" s="9">
        <f t="shared" si="12"/>
        <v>-268.74</v>
      </c>
      <c r="N14" s="9">
        <f t="shared" si="12"/>
        <v>-268.74</v>
      </c>
      <c r="O14" s="9">
        <f t="shared" si="12"/>
        <v>-268.74</v>
      </c>
      <c r="P14" s="9">
        <f t="shared" si="12"/>
        <v>-268.74</v>
      </c>
      <c r="Q14" s="9">
        <f t="shared" si="12"/>
        <v>-268.74</v>
      </c>
      <c r="R14" s="9">
        <f t="shared" si="12"/>
        <v>-268.74</v>
      </c>
      <c r="S14" s="10">
        <f t="shared" si="6"/>
        <v>-3224.8799999999992</v>
      </c>
    </row>
    <row r="15" spans="1:20" ht="15.75" customHeight="1" x14ac:dyDescent="0.25">
      <c r="A15" s="1"/>
      <c r="B15" s="12" t="s">
        <v>27</v>
      </c>
      <c r="C15" s="13">
        <v>85467.49</v>
      </c>
      <c r="D15" s="12"/>
      <c r="E15" s="12"/>
      <c r="F15" s="12" t="s">
        <v>28</v>
      </c>
      <c r="G15" s="15">
        <f t="shared" ref="G15:R15" si="13">SUM(G13:G14)</f>
        <v>19069.774223514298</v>
      </c>
      <c r="H15" s="15">
        <f t="shared" si="13"/>
        <v>6326.1974401869584</v>
      </c>
      <c r="I15" s="15">
        <f t="shared" si="13"/>
        <v>3964.2098897742317</v>
      </c>
      <c r="J15" s="15">
        <f t="shared" si="13"/>
        <v>3897.6649497599637</v>
      </c>
      <c r="K15" s="15">
        <f t="shared" si="13"/>
        <v>13609.663998516602</v>
      </c>
      <c r="L15" s="15">
        <f t="shared" si="13"/>
        <v>11175.106905712228</v>
      </c>
      <c r="M15" s="15">
        <f t="shared" si="13"/>
        <v>19862.048131529318</v>
      </c>
      <c r="N15" s="15">
        <f t="shared" si="13"/>
        <v>3707.1530655814631</v>
      </c>
      <c r="O15" s="15">
        <f t="shared" si="13"/>
        <v>9883.4300348755696</v>
      </c>
      <c r="P15" s="15">
        <f t="shared" si="13"/>
        <v>20961.625940600094</v>
      </c>
      <c r="Q15" s="15">
        <f t="shared" si="13"/>
        <v>8884.8864621514131</v>
      </c>
      <c r="R15" s="15">
        <f t="shared" si="13"/>
        <v>37139.001815470438</v>
      </c>
      <c r="S15" s="15">
        <f t="shared" si="6"/>
        <v>158480.76285767255</v>
      </c>
    </row>
    <row r="16" spans="1:20" ht="14.25" x14ac:dyDescent="0.2">
      <c r="A16" s="1"/>
      <c r="B16" s="6" t="s">
        <v>29</v>
      </c>
      <c r="C16" s="7">
        <f>-C15*(0.275)-C13*0.039</f>
        <v>-26962.562180000004</v>
      </c>
      <c r="E16" s="6"/>
      <c r="F16" s="6" t="s">
        <v>29</v>
      </c>
      <c r="G16" s="9">
        <f t="shared" ref="G16:R16" si="14">-(G15*0.275)-(G13*0.039)</f>
        <v>-5998.3899661834903</v>
      </c>
      <c r="H16" s="9">
        <f t="shared" si="14"/>
        <v>-1996.9068562187049</v>
      </c>
      <c r="I16" s="9">
        <f t="shared" si="14"/>
        <v>-1255.2427653891089</v>
      </c>
      <c r="J16" s="9">
        <f t="shared" si="14"/>
        <v>-1234.3476542246285</v>
      </c>
      <c r="K16" s="9">
        <f t="shared" si="14"/>
        <v>-4283.9153555342127</v>
      </c>
      <c r="L16" s="9">
        <f t="shared" si="14"/>
        <v>-3519.4644283936395</v>
      </c>
      <c r="M16" s="9">
        <f t="shared" si="14"/>
        <v>-6247.1639733002066</v>
      </c>
      <c r="N16" s="9">
        <f t="shared" si="14"/>
        <v>-1174.5269225925795</v>
      </c>
      <c r="O16" s="9">
        <f t="shared" si="14"/>
        <v>-3113.8778909509292</v>
      </c>
      <c r="P16" s="9">
        <f t="shared" si="14"/>
        <v>-6592.4314053484295</v>
      </c>
      <c r="Q16" s="9">
        <f t="shared" si="14"/>
        <v>-2800.3352091155439</v>
      </c>
      <c r="R16" s="9">
        <f t="shared" si="14"/>
        <v>-11672.127430057719</v>
      </c>
      <c r="S16" s="10">
        <f t="shared" si="6"/>
        <v>-49888.72985730919</v>
      </c>
    </row>
    <row r="17" spans="1:19" ht="15.75" customHeight="1" x14ac:dyDescent="0.25">
      <c r="A17" s="1"/>
      <c r="B17" s="12" t="s">
        <v>30</v>
      </c>
      <c r="C17" s="13">
        <v>58504.93</v>
      </c>
      <c r="E17" s="12"/>
      <c r="F17" s="12" t="s">
        <v>30</v>
      </c>
      <c r="G17" s="15">
        <f t="shared" ref="G17:R17" si="15">SUM(G15:G16)</f>
        <v>13071.384257330807</v>
      </c>
      <c r="H17" s="15">
        <f t="shared" si="15"/>
        <v>4329.2905839682535</v>
      </c>
      <c r="I17" s="15">
        <f t="shared" si="15"/>
        <v>2708.9671243851226</v>
      </c>
      <c r="J17" s="15">
        <f t="shared" si="15"/>
        <v>2663.3172955353352</v>
      </c>
      <c r="K17" s="15">
        <f t="shared" si="15"/>
        <v>9325.7486429823894</v>
      </c>
      <c r="L17" s="15">
        <f t="shared" si="15"/>
        <v>7655.6424773185881</v>
      </c>
      <c r="M17" s="15">
        <f t="shared" si="15"/>
        <v>13614.884158229112</v>
      </c>
      <c r="N17" s="15">
        <f t="shared" si="15"/>
        <v>2532.6261429888837</v>
      </c>
      <c r="O17" s="15">
        <f t="shared" si="15"/>
        <v>6769.5521439246404</v>
      </c>
      <c r="P17" s="15">
        <f t="shared" si="15"/>
        <v>14369.194535251663</v>
      </c>
      <c r="Q17" s="15">
        <f t="shared" si="15"/>
        <v>6084.5512530358692</v>
      </c>
      <c r="R17" s="15">
        <f t="shared" si="15"/>
        <v>25466.874385412717</v>
      </c>
      <c r="S17" s="15">
        <f t="shared" si="6"/>
        <v>108592.03300036339</v>
      </c>
    </row>
    <row r="18" spans="1:19" ht="14.25" x14ac:dyDescent="0.2">
      <c r="A18" s="1"/>
      <c r="D18" s="1"/>
      <c r="E18" s="1"/>
      <c r="F18" s="1"/>
      <c r="G18" s="17"/>
      <c r="H18" s="17"/>
      <c r="I18" s="17"/>
      <c r="J18" s="17"/>
      <c r="K18" s="17"/>
      <c r="L18" s="1"/>
      <c r="M18" s="1"/>
      <c r="N18" s="1"/>
      <c r="O18" s="1"/>
      <c r="P18" s="1"/>
      <c r="Q18" s="1"/>
      <c r="R18" s="1"/>
      <c r="S18" s="1"/>
    </row>
    <row r="19" spans="1:19" ht="15.75" customHeight="1" x14ac:dyDescent="0.25">
      <c r="A19" s="1"/>
      <c r="B19" s="32" t="s">
        <v>42</v>
      </c>
      <c r="C19" s="31"/>
      <c r="D19" s="18"/>
      <c r="E19" s="18"/>
      <c r="F19" s="18" t="s">
        <v>31</v>
      </c>
      <c r="G19" s="19">
        <f t="shared" ref="G19:S19" si="16">IF(G5=0,0,-G6/G5)</f>
        <v>0.6969820753755025</v>
      </c>
      <c r="H19" s="19">
        <f t="shared" si="16"/>
        <v>0.6969820753755025</v>
      </c>
      <c r="I19" s="19">
        <f t="shared" si="16"/>
        <v>0.6969820753755025</v>
      </c>
      <c r="J19" s="19">
        <f t="shared" si="16"/>
        <v>0.6969820753755025</v>
      </c>
      <c r="K19" s="19">
        <f t="shared" si="16"/>
        <v>0.6969820753755025</v>
      </c>
      <c r="L19" s="19">
        <f t="shared" si="16"/>
        <v>0.6969820753755025</v>
      </c>
      <c r="M19" s="19">
        <f t="shared" si="16"/>
        <v>0.6969820753755025</v>
      </c>
      <c r="N19" s="19">
        <f t="shared" si="16"/>
        <v>0.6969820753755025</v>
      </c>
      <c r="O19" s="19">
        <f t="shared" si="16"/>
        <v>0.6969820753755025</v>
      </c>
      <c r="P19" s="19">
        <f t="shared" si="16"/>
        <v>0.69698207537550239</v>
      </c>
      <c r="Q19" s="19">
        <f t="shared" si="16"/>
        <v>0.6969820753755025</v>
      </c>
      <c r="R19" s="19">
        <f t="shared" si="16"/>
        <v>0.6969820753755025</v>
      </c>
      <c r="S19" s="19">
        <f t="shared" si="16"/>
        <v>0.69698207537550239</v>
      </c>
    </row>
    <row r="20" spans="1:19" ht="14.25" x14ac:dyDescent="0.2">
      <c r="A20" s="1"/>
      <c r="B20" s="6" t="s">
        <v>14</v>
      </c>
      <c r="C20" s="20" t="s">
        <v>44</v>
      </c>
      <c r="D20" s="18"/>
      <c r="E20" s="18"/>
      <c r="F20" s="18" t="s">
        <v>32</v>
      </c>
      <c r="G20" s="19">
        <f t="shared" ref="G20:S20" si="17">IF(G7=0,0,G7/G5)</f>
        <v>0.3030179246244975</v>
      </c>
      <c r="H20" s="19">
        <f t="shared" si="17"/>
        <v>0.3030179246244975</v>
      </c>
      <c r="I20" s="19">
        <f t="shared" si="17"/>
        <v>0.3030179246244975</v>
      </c>
      <c r="J20" s="19">
        <f t="shared" si="17"/>
        <v>0.30301792462449745</v>
      </c>
      <c r="K20" s="19">
        <f t="shared" si="17"/>
        <v>0.3030179246244975</v>
      </c>
      <c r="L20" s="19">
        <f t="shared" si="17"/>
        <v>0.3030179246244975</v>
      </c>
      <c r="M20" s="19">
        <f t="shared" si="17"/>
        <v>0.30301792462449756</v>
      </c>
      <c r="N20" s="19">
        <f t="shared" si="17"/>
        <v>0.3030179246244975</v>
      </c>
      <c r="O20" s="19">
        <f t="shared" si="17"/>
        <v>0.3030179246244975</v>
      </c>
      <c r="P20" s="19">
        <f t="shared" si="17"/>
        <v>0.30301792462449756</v>
      </c>
      <c r="Q20" s="19">
        <f t="shared" si="17"/>
        <v>0.30301792462449756</v>
      </c>
      <c r="R20" s="19">
        <f t="shared" si="17"/>
        <v>0.3030179246244975</v>
      </c>
      <c r="S20" s="19">
        <f t="shared" si="17"/>
        <v>0.30301792462449761</v>
      </c>
    </row>
    <row r="21" spans="1:19" ht="14.25" x14ac:dyDescent="0.2">
      <c r="A21" s="1"/>
      <c r="B21" s="6" t="s">
        <v>33</v>
      </c>
      <c r="C21" s="21">
        <f>D6</f>
        <v>0.64698207537550245</v>
      </c>
      <c r="F21" s="18" t="s">
        <v>34</v>
      </c>
      <c r="G21" s="19">
        <f t="shared" ref="G21:S21" si="18">IF(G5=0,0,G13/G5)</f>
        <v>0.10512447609457393</v>
      </c>
      <c r="H21" s="19">
        <f t="shared" si="18"/>
        <v>4.6475058592264397E-2</v>
      </c>
      <c r="I21" s="19">
        <f t="shared" si="18"/>
        <v>3.1563774796607755E-2</v>
      </c>
      <c r="J21" s="19">
        <f t="shared" si="18"/>
        <v>3.1118528033231022E-2</v>
      </c>
      <c r="K21" s="19">
        <f t="shared" si="18"/>
        <v>8.3635503283553431E-2</v>
      </c>
      <c r="L21" s="19">
        <f t="shared" si="18"/>
        <v>7.2473087527488211E-2</v>
      </c>
      <c r="M21" s="19">
        <f t="shared" si="18"/>
        <v>0.10789773227671812</v>
      </c>
      <c r="N21" s="19">
        <f t="shared" si="18"/>
        <v>2.9835713901860985E-2</v>
      </c>
      <c r="O21" s="19">
        <f t="shared" si="18"/>
        <v>6.6076758289868656E-2</v>
      </c>
      <c r="P21" s="19">
        <f t="shared" si="18"/>
        <v>0.11162032625279866</v>
      </c>
      <c r="Q21" s="19">
        <f t="shared" si="18"/>
        <v>6.0883436922117971E-2</v>
      </c>
      <c r="R21" s="19">
        <f t="shared" si="18"/>
        <v>0.15356900936210582</v>
      </c>
      <c r="S21" s="19">
        <f t="shared" si="18"/>
        <v>8.1863304215881075E-2</v>
      </c>
    </row>
    <row r="22" spans="1:19" ht="14.25" x14ac:dyDescent="0.2">
      <c r="A22" s="1"/>
      <c r="B22" s="6" t="s">
        <v>35</v>
      </c>
      <c r="C22" s="22">
        <v>0.05</v>
      </c>
      <c r="F22" s="18" t="s">
        <v>36</v>
      </c>
      <c r="G22" s="23">
        <f>-SUM(C8:C10)/T7</f>
        <v>1349277.738294383</v>
      </c>
    </row>
    <row r="23" spans="1:19" ht="14.25" x14ac:dyDescent="0.2">
      <c r="B23" s="6" t="s">
        <v>18</v>
      </c>
      <c r="C23" s="20" t="s">
        <v>45</v>
      </c>
      <c r="F23" s="24" t="s">
        <v>37</v>
      </c>
      <c r="G23" s="25">
        <f t="shared" ref="G23:S23" si="19">(G8+G9+G10+G12+G14)</f>
        <v>-36672.871666666666</v>
      </c>
      <c r="H23" s="25">
        <f t="shared" si="19"/>
        <v>-36672.871666666666</v>
      </c>
      <c r="I23" s="25">
        <f t="shared" si="19"/>
        <v>-36672.871666666666</v>
      </c>
      <c r="J23" s="25">
        <f t="shared" si="19"/>
        <v>-36672.871666666666</v>
      </c>
      <c r="K23" s="25">
        <f t="shared" si="19"/>
        <v>-36672.871666666666</v>
      </c>
      <c r="L23" s="25">
        <f t="shared" si="19"/>
        <v>-36672.871666666666</v>
      </c>
      <c r="M23" s="25">
        <f t="shared" si="19"/>
        <v>-36672.871666666666</v>
      </c>
      <c r="N23" s="25">
        <f t="shared" si="19"/>
        <v>-36672.871666666666</v>
      </c>
      <c r="O23" s="25">
        <f t="shared" si="19"/>
        <v>-36672.871666666666</v>
      </c>
      <c r="P23" s="25">
        <f t="shared" si="19"/>
        <v>-36672.871666666666</v>
      </c>
      <c r="Q23" s="25">
        <f t="shared" si="19"/>
        <v>-36672.871666666666</v>
      </c>
      <c r="R23" s="25">
        <f t="shared" si="19"/>
        <v>-36672.871666666666</v>
      </c>
      <c r="S23" s="25">
        <f t="shared" si="19"/>
        <v>-440074.45999999996</v>
      </c>
    </row>
    <row r="24" spans="1:19" ht="14.25" x14ac:dyDescent="0.2">
      <c r="B24" s="6" t="s">
        <v>19</v>
      </c>
      <c r="C24" s="20" t="s">
        <v>45</v>
      </c>
    </row>
    <row r="25" spans="1:19" ht="15.75" customHeight="1" x14ac:dyDescent="0.25">
      <c r="B25" s="6" t="s">
        <v>21</v>
      </c>
      <c r="C25" s="20" t="s">
        <v>45</v>
      </c>
      <c r="F25" s="1"/>
      <c r="G25" s="5" t="s">
        <v>1</v>
      </c>
      <c r="H25" s="5" t="s">
        <v>2</v>
      </c>
      <c r="I25" s="5" t="s">
        <v>3</v>
      </c>
      <c r="J25" s="5" t="s">
        <v>4</v>
      </c>
      <c r="K25" s="5" t="s">
        <v>5</v>
      </c>
      <c r="L25" s="5" t="s">
        <v>6</v>
      </c>
      <c r="M25" s="5" t="s">
        <v>7</v>
      </c>
      <c r="N25" s="5" t="s">
        <v>8</v>
      </c>
      <c r="O25" s="5" t="s">
        <v>9</v>
      </c>
      <c r="P25" s="5" t="s">
        <v>10</v>
      </c>
      <c r="Q25" s="5" t="s">
        <v>11</v>
      </c>
      <c r="R25" s="5" t="s">
        <v>12</v>
      </c>
    </row>
    <row r="26" spans="1:19" ht="14.25" x14ac:dyDescent="0.2">
      <c r="B26" s="6" t="s">
        <v>24</v>
      </c>
      <c r="C26" s="20" t="s">
        <v>45</v>
      </c>
      <c r="F26" s="8" t="s">
        <v>14</v>
      </c>
      <c r="G26" s="10">
        <v>157229.26999999999</v>
      </c>
      <c r="H26" s="10">
        <v>121284.38</v>
      </c>
      <c r="I26" s="10">
        <v>13525.48</v>
      </c>
      <c r="J26" s="10">
        <v>15941.16</v>
      </c>
      <c r="K26" s="10">
        <v>141828.32999999999</v>
      </c>
      <c r="L26" s="10">
        <v>134961.35</v>
      </c>
      <c r="M26" s="10">
        <v>159463.98000000001</v>
      </c>
      <c r="N26" s="10">
        <v>113897.03</v>
      </c>
      <c r="O26" s="10">
        <v>131318.01</v>
      </c>
      <c r="P26" s="10">
        <v>162565.48000000001</v>
      </c>
      <c r="Q26" s="10">
        <v>128501.49</v>
      </c>
      <c r="R26" s="10">
        <v>208195.84</v>
      </c>
    </row>
    <row r="27" spans="1:19" ht="14.25" x14ac:dyDescent="0.2">
      <c r="B27" s="6" t="s">
        <v>38</v>
      </c>
      <c r="C27" s="20" t="s">
        <v>45</v>
      </c>
    </row>
    <row r="28" spans="1:19" ht="15.75" customHeight="1" x14ac:dyDescent="0.25">
      <c r="B28" s="6" t="s">
        <v>29</v>
      </c>
      <c r="C28" s="20" t="s">
        <v>39</v>
      </c>
      <c r="F28" s="1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1"/>
    </row>
    <row r="29" spans="1:19" ht="15.75" customHeight="1" x14ac:dyDescent="0.25">
      <c r="F29" s="1"/>
      <c r="G29" s="30" t="s">
        <v>46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</row>
    <row r="30" spans="1:19" ht="12.75" x14ac:dyDescent="0.2">
      <c r="F30" s="1"/>
      <c r="G30" s="26" t="s">
        <v>40</v>
      </c>
      <c r="H30" s="26" t="s">
        <v>40</v>
      </c>
      <c r="I30" s="26" t="s">
        <v>40</v>
      </c>
      <c r="J30" s="27" t="s">
        <v>0</v>
      </c>
      <c r="K30" s="27" t="s">
        <v>0</v>
      </c>
      <c r="L30" s="27" t="s">
        <v>0</v>
      </c>
      <c r="M30" s="27" t="s">
        <v>0</v>
      </c>
      <c r="N30" s="27" t="s">
        <v>0</v>
      </c>
      <c r="O30" s="27" t="s">
        <v>0</v>
      </c>
      <c r="P30" s="27" t="s">
        <v>0</v>
      </c>
      <c r="Q30" s="27" t="s">
        <v>0</v>
      </c>
      <c r="R30" s="27" t="s">
        <v>0</v>
      </c>
    </row>
    <row r="31" spans="1:19" ht="15.75" customHeight="1" x14ac:dyDescent="0.25">
      <c r="B31" s="5"/>
      <c r="C31" s="5"/>
      <c r="D31" s="5"/>
      <c r="F31" s="1"/>
      <c r="G31" s="5" t="s">
        <v>1</v>
      </c>
      <c r="H31" s="5" t="s">
        <v>2</v>
      </c>
      <c r="I31" s="5" t="s">
        <v>3</v>
      </c>
      <c r="J31" s="5" t="s">
        <v>4</v>
      </c>
      <c r="K31" s="5" t="s">
        <v>5</v>
      </c>
      <c r="L31" s="5" t="s">
        <v>6</v>
      </c>
      <c r="M31" s="5" t="s">
        <v>7</v>
      </c>
      <c r="N31" s="5" t="s">
        <v>8</v>
      </c>
      <c r="O31" s="5" t="s">
        <v>9</v>
      </c>
      <c r="P31" s="5" t="s">
        <v>10</v>
      </c>
      <c r="Q31" s="5" t="s">
        <v>11</v>
      </c>
      <c r="R31" s="5" t="s">
        <v>12</v>
      </c>
      <c r="S31" s="5" t="s">
        <v>13</v>
      </c>
    </row>
    <row r="32" spans="1:19" ht="15.75" customHeight="1" x14ac:dyDescent="0.25">
      <c r="B32" s="5"/>
      <c r="C32" s="5"/>
      <c r="D32" s="5"/>
      <c r="F32" s="8" t="s">
        <v>14</v>
      </c>
      <c r="G32" s="28">
        <v>175404.99</v>
      </c>
      <c r="H32" s="28">
        <v>111702.56</v>
      </c>
      <c r="I32" s="28">
        <v>98324.12</v>
      </c>
      <c r="J32" s="28">
        <f t="shared" ref="J32:R32" si="20">J5</f>
        <v>133888.24000000002</v>
      </c>
      <c r="K32" s="28">
        <f t="shared" si="20"/>
        <v>165939.14609999998</v>
      </c>
      <c r="L32" s="28">
        <f t="shared" si="20"/>
        <v>157904.7795</v>
      </c>
      <c r="M32" s="28">
        <f t="shared" si="20"/>
        <v>186572.8566</v>
      </c>
      <c r="N32" s="28">
        <f t="shared" si="20"/>
        <v>133259.5251</v>
      </c>
      <c r="O32" s="28">
        <f t="shared" si="20"/>
        <v>153642.0717</v>
      </c>
      <c r="P32" s="28">
        <f t="shared" si="20"/>
        <v>190201.6116</v>
      </c>
      <c r="Q32" s="28">
        <f t="shared" si="20"/>
        <v>150346.7433</v>
      </c>
      <c r="R32" s="28">
        <f t="shared" si="20"/>
        <v>243589.13279999999</v>
      </c>
      <c r="S32" s="28">
        <f t="shared" ref="S32:S33" si="21">SUM(G32:R32)</f>
        <v>1900775.7767</v>
      </c>
    </row>
    <row r="33" spans="2:20" ht="15.75" customHeight="1" x14ac:dyDescent="0.25">
      <c r="B33" s="5"/>
      <c r="C33" s="5"/>
      <c r="D33" s="5"/>
      <c r="F33" s="8" t="s">
        <v>16</v>
      </c>
      <c r="G33" s="28">
        <v>-137843</v>
      </c>
      <c r="H33" s="28">
        <v>-97229.89</v>
      </c>
      <c r="I33" s="28">
        <f>-67431</f>
        <v>-67431</v>
      </c>
      <c r="J33" s="28">
        <f t="shared" ref="J33:R33" si="22">J6</f>
        <v>-93317.703383573389</v>
      </c>
      <c r="K33" s="28">
        <f t="shared" si="22"/>
        <v>-115656.61043481671</v>
      </c>
      <c r="L33" s="28">
        <f t="shared" si="22"/>
        <v>-110056.80092762111</v>
      </c>
      <c r="M33" s="28">
        <f t="shared" si="22"/>
        <v>-130037.93680180401</v>
      </c>
      <c r="N33" s="28">
        <f t="shared" si="22"/>
        <v>-92879.500367751869</v>
      </c>
      <c r="O33" s="28">
        <f t="shared" si="22"/>
        <v>-107085.76999845776</v>
      </c>
      <c r="P33" s="28">
        <f t="shared" si="22"/>
        <v>-132567.11399273324</v>
      </c>
      <c r="Q33" s="28">
        <f t="shared" si="22"/>
        <v>-104788.98517118192</v>
      </c>
      <c r="R33" s="28">
        <f t="shared" si="22"/>
        <v>-169777.25931786289</v>
      </c>
      <c r="S33" s="28">
        <f t="shared" si="21"/>
        <v>-1358671.5703958026</v>
      </c>
    </row>
    <row r="34" spans="2:20" ht="15.75" customHeight="1" x14ac:dyDescent="0.25">
      <c r="B34" s="5"/>
      <c r="C34" s="5"/>
      <c r="D34" s="5"/>
      <c r="F34" s="12" t="s">
        <v>17</v>
      </c>
      <c r="G34" s="29">
        <f t="shared" ref="G34:R34" si="23">SUM(G32:G33)</f>
        <v>37561.989999999991</v>
      </c>
      <c r="H34" s="29">
        <f t="shared" si="23"/>
        <v>14472.669999999998</v>
      </c>
      <c r="I34" s="29">
        <f t="shared" si="23"/>
        <v>30893.119999999995</v>
      </c>
      <c r="J34" s="29">
        <f t="shared" si="23"/>
        <v>40570.536616426631</v>
      </c>
      <c r="K34" s="29">
        <f t="shared" si="23"/>
        <v>50282.53566518327</v>
      </c>
      <c r="L34" s="29">
        <f t="shared" si="23"/>
        <v>47847.978572378895</v>
      </c>
      <c r="M34" s="29">
        <f t="shared" si="23"/>
        <v>56534.919798195988</v>
      </c>
      <c r="N34" s="29">
        <f t="shared" si="23"/>
        <v>40380.02473224813</v>
      </c>
      <c r="O34" s="29">
        <f t="shared" si="23"/>
        <v>46556.301701542237</v>
      </c>
      <c r="P34" s="29">
        <f t="shared" si="23"/>
        <v>57634.497607266763</v>
      </c>
      <c r="Q34" s="29">
        <f t="shared" si="23"/>
        <v>45557.758128818081</v>
      </c>
      <c r="R34" s="29">
        <f t="shared" si="23"/>
        <v>73811.873482137104</v>
      </c>
      <c r="S34" s="29">
        <f>S32+S33</f>
        <v>542104.20630419743</v>
      </c>
      <c r="T34" s="16">
        <f>S34/S32</f>
        <v>0.28520155451757839</v>
      </c>
    </row>
    <row r="35" spans="2:20" ht="15.75" customHeight="1" x14ac:dyDescent="0.25">
      <c r="B35" s="5"/>
      <c r="C35" s="5"/>
      <c r="D35" s="5"/>
      <c r="F35" s="6" t="s">
        <v>18</v>
      </c>
      <c r="G35" s="28">
        <v>-19188.11</v>
      </c>
      <c r="H35" s="28">
        <v>-19188.11</v>
      </c>
      <c r="I35" s="28">
        <v>-19188.11</v>
      </c>
      <c r="J35" s="28">
        <v>-19188.11</v>
      </c>
      <c r="K35" s="28">
        <v>-19188.11</v>
      </c>
      <c r="L35" s="28">
        <v>-19188.11</v>
      </c>
      <c r="M35" s="28">
        <v>-19188.11</v>
      </c>
      <c r="N35" s="28">
        <v>-19188.11</v>
      </c>
      <c r="O35" s="28">
        <v>-19188.11</v>
      </c>
      <c r="P35" s="28">
        <v>-19188.11</v>
      </c>
      <c r="Q35" s="28">
        <v>-19188.11</v>
      </c>
      <c r="R35" s="28">
        <v>-19188.11</v>
      </c>
      <c r="S35" s="28">
        <f t="shared" ref="S35:S44" si="24">SUM(G35:R35)</f>
        <v>-230257.31999999995</v>
      </c>
    </row>
    <row r="36" spans="2:20" ht="15" x14ac:dyDescent="0.25">
      <c r="B36" s="5"/>
      <c r="C36" s="5"/>
      <c r="D36" s="5"/>
      <c r="F36" s="6" t="s">
        <v>20</v>
      </c>
      <c r="G36" s="28">
        <f t="shared" ref="G36:R36" si="25">$C$9/12</f>
        <v>-5000</v>
      </c>
      <c r="H36" s="28">
        <f t="shared" si="25"/>
        <v>-5000</v>
      </c>
      <c r="I36" s="28">
        <f t="shared" si="25"/>
        <v>-5000</v>
      </c>
      <c r="J36" s="28">
        <f t="shared" si="25"/>
        <v>-5000</v>
      </c>
      <c r="K36" s="28">
        <f t="shared" si="25"/>
        <v>-5000</v>
      </c>
      <c r="L36" s="28">
        <f t="shared" si="25"/>
        <v>-5000</v>
      </c>
      <c r="M36" s="28">
        <f t="shared" si="25"/>
        <v>-5000</v>
      </c>
      <c r="N36" s="28">
        <f t="shared" si="25"/>
        <v>-5000</v>
      </c>
      <c r="O36" s="28">
        <f t="shared" si="25"/>
        <v>-5000</v>
      </c>
      <c r="P36" s="28">
        <f t="shared" si="25"/>
        <v>-5000</v>
      </c>
      <c r="Q36" s="28">
        <f t="shared" si="25"/>
        <v>-5000</v>
      </c>
      <c r="R36" s="28">
        <f t="shared" si="25"/>
        <v>-5000</v>
      </c>
      <c r="S36" s="28">
        <f t="shared" si="24"/>
        <v>-60000</v>
      </c>
    </row>
    <row r="37" spans="2:20" ht="15" x14ac:dyDescent="0.25">
      <c r="B37" s="5"/>
      <c r="C37" s="5"/>
      <c r="D37" s="5"/>
      <c r="F37" s="6" t="s">
        <v>21</v>
      </c>
      <c r="G37" s="28">
        <f t="shared" ref="G37:R37" si="26">$C$10/12</f>
        <v>-12443.44</v>
      </c>
      <c r="H37" s="28">
        <f t="shared" si="26"/>
        <v>-12443.44</v>
      </c>
      <c r="I37" s="28">
        <f t="shared" si="26"/>
        <v>-12443.44</v>
      </c>
      <c r="J37" s="28">
        <f t="shared" si="26"/>
        <v>-12443.44</v>
      </c>
      <c r="K37" s="28">
        <f t="shared" si="26"/>
        <v>-12443.44</v>
      </c>
      <c r="L37" s="28">
        <f t="shared" si="26"/>
        <v>-12443.44</v>
      </c>
      <c r="M37" s="28">
        <f t="shared" si="26"/>
        <v>-12443.44</v>
      </c>
      <c r="N37" s="28">
        <f t="shared" si="26"/>
        <v>-12443.44</v>
      </c>
      <c r="O37" s="28">
        <f t="shared" si="26"/>
        <v>-12443.44</v>
      </c>
      <c r="P37" s="28">
        <f t="shared" si="26"/>
        <v>-12443.44</v>
      </c>
      <c r="Q37" s="28">
        <f t="shared" si="26"/>
        <v>-12443.44</v>
      </c>
      <c r="R37" s="28">
        <f t="shared" si="26"/>
        <v>-12443.44</v>
      </c>
      <c r="S37" s="28">
        <f t="shared" si="24"/>
        <v>-149321.28</v>
      </c>
    </row>
    <row r="38" spans="2:20" ht="15" x14ac:dyDescent="0.25">
      <c r="B38" s="5"/>
      <c r="C38" s="5"/>
      <c r="D38" s="5"/>
      <c r="F38" s="12" t="s">
        <v>23</v>
      </c>
      <c r="G38" s="29">
        <f>SUM(G34:G37)</f>
        <v>930.4399999999896</v>
      </c>
      <c r="H38" s="29">
        <f>H34+H35+H36+H37</f>
        <v>-22158.880000000005</v>
      </c>
      <c r="I38" s="29">
        <f t="shared" ref="I38:R38" si="27">SUM(I34:I37)</f>
        <v>-5738.4300000000057</v>
      </c>
      <c r="J38" s="29">
        <f t="shared" si="27"/>
        <v>3938.9866164266296</v>
      </c>
      <c r="K38" s="29">
        <f t="shared" si="27"/>
        <v>13650.985665183269</v>
      </c>
      <c r="L38" s="29">
        <f t="shared" si="27"/>
        <v>11216.428572378894</v>
      </c>
      <c r="M38" s="29">
        <f t="shared" si="27"/>
        <v>19903.369798195985</v>
      </c>
      <c r="N38" s="29">
        <f t="shared" si="27"/>
        <v>3748.4747322481289</v>
      </c>
      <c r="O38" s="29">
        <f t="shared" si="27"/>
        <v>9924.7517015422363</v>
      </c>
      <c r="P38" s="29">
        <f t="shared" si="27"/>
        <v>21002.94760726676</v>
      </c>
      <c r="Q38" s="29">
        <f t="shared" si="27"/>
        <v>8926.2081288180798</v>
      </c>
      <c r="R38" s="29">
        <f t="shared" si="27"/>
        <v>37180.323482137101</v>
      </c>
      <c r="S38" s="29">
        <f t="shared" si="24"/>
        <v>102525.60630419705</v>
      </c>
    </row>
    <row r="39" spans="2:20" ht="15" x14ac:dyDescent="0.25">
      <c r="B39" s="5"/>
      <c r="C39" s="5"/>
      <c r="D39" s="5"/>
      <c r="F39" s="6" t="s">
        <v>24</v>
      </c>
      <c r="G39" s="28">
        <f t="shared" ref="G39:R39" si="28">$C$12/12</f>
        <v>-2332.8533333333335</v>
      </c>
      <c r="H39" s="28">
        <f t="shared" si="28"/>
        <v>-2332.8533333333335</v>
      </c>
      <c r="I39" s="28">
        <f t="shared" si="28"/>
        <v>-2332.8533333333335</v>
      </c>
      <c r="J39" s="28">
        <f t="shared" si="28"/>
        <v>-2332.8533333333335</v>
      </c>
      <c r="K39" s="28">
        <f t="shared" si="28"/>
        <v>-2332.8533333333335</v>
      </c>
      <c r="L39" s="28">
        <f t="shared" si="28"/>
        <v>-2332.8533333333335</v>
      </c>
      <c r="M39" s="28">
        <f t="shared" si="28"/>
        <v>-2332.8533333333335</v>
      </c>
      <c r="N39" s="28">
        <f t="shared" si="28"/>
        <v>-2332.8533333333335</v>
      </c>
      <c r="O39" s="28">
        <f t="shared" si="28"/>
        <v>-2332.8533333333335</v>
      </c>
      <c r="P39" s="28">
        <f t="shared" si="28"/>
        <v>-2332.8533333333335</v>
      </c>
      <c r="Q39" s="28">
        <f t="shared" si="28"/>
        <v>-2332.8533333333335</v>
      </c>
      <c r="R39" s="28">
        <f t="shared" si="28"/>
        <v>-2332.8533333333335</v>
      </c>
      <c r="S39" s="28">
        <f t="shared" si="24"/>
        <v>-27994.239999999994</v>
      </c>
    </row>
    <row r="40" spans="2:20" ht="15" x14ac:dyDescent="0.25">
      <c r="B40" s="5"/>
      <c r="C40" s="5"/>
      <c r="D40" s="5"/>
      <c r="F40" s="12" t="s">
        <v>25</v>
      </c>
      <c r="G40" s="29">
        <f t="shared" ref="G40:R40" si="29">SUM(G38:G39)</f>
        <v>-1402.4133333333439</v>
      </c>
      <c r="H40" s="29">
        <f t="shared" si="29"/>
        <v>-24491.733333333337</v>
      </c>
      <c r="I40" s="29">
        <f t="shared" si="29"/>
        <v>-8071.2833333333392</v>
      </c>
      <c r="J40" s="29">
        <f t="shared" si="29"/>
        <v>1606.1332830932961</v>
      </c>
      <c r="K40" s="29">
        <f t="shared" si="29"/>
        <v>11318.132331849934</v>
      </c>
      <c r="L40" s="29">
        <f t="shared" si="29"/>
        <v>8883.57523904556</v>
      </c>
      <c r="M40" s="29">
        <f t="shared" si="29"/>
        <v>17570.516464862652</v>
      </c>
      <c r="N40" s="29">
        <f t="shared" si="29"/>
        <v>1415.6213989147955</v>
      </c>
      <c r="O40" s="29">
        <f t="shared" si="29"/>
        <v>7591.8983682089029</v>
      </c>
      <c r="P40" s="29">
        <f t="shared" si="29"/>
        <v>18670.094273933428</v>
      </c>
      <c r="Q40" s="29">
        <f t="shared" si="29"/>
        <v>6593.3547954847463</v>
      </c>
      <c r="R40" s="29">
        <f t="shared" si="29"/>
        <v>34847.470148803768</v>
      </c>
      <c r="S40" s="29">
        <f t="shared" si="24"/>
        <v>74531.366304197058</v>
      </c>
    </row>
    <row r="41" spans="2:20" ht="15" x14ac:dyDescent="0.25">
      <c r="B41" s="5"/>
      <c r="C41" s="5"/>
      <c r="D41" s="5"/>
      <c r="F41" s="6" t="s">
        <v>26</v>
      </c>
      <c r="G41" s="28">
        <f t="shared" ref="G41:R41" si="30">$C$14/12</f>
        <v>-268.74</v>
      </c>
      <c r="H41" s="28">
        <f t="shared" si="30"/>
        <v>-268.74</v>
      </c>
      <c r="I41" s="28">
        <f t="shared" si="30"/>
        <v>-268.74</v>
      </c>
      <c r="J41" s="28">
        <f t="shared" si="30"/>
        <v>-268.74</v>
      </c>
      <c r="K41" s="28">
        <f t="shared" si="30"/>
        <v>-268.74</v>
      </c>
      <c r="L41" s="28">
        <f t="shared" si="30"/>
        <v>-268.74</v>
      </c>
      <c r="M41" s="28">
        <f t="shared" si="30"/>
        <v>-268.74</v>
      </c>
      <c r="N41" s="28">
        <f t="shared" si="30"/>
        <v>-268.74</v>
      </c>
      <c r="O41" s="28">
        <f t="shared" si="30"/>
        <v>-268.74</v>
      </c>
      <c r="P41" s="28">
        <f t="shared" si="30"/>
        <v>-268.74</v>
      </c>
      <c r="Q41" s="28">
        <f t="shared" si="30"/>
        <v>-268.74</v>
      </c>
      <c r="R41" s="28">
        <f t="shared" si="30"/>
        <v>-268.74</v>
      </c>
      <c r="S41" s="28">
        <f t="shared" si="24"/>
        <v>-3224.8799999999992</v>
      </c>
    </row>
    <row r="42" spans="2:20" ht="15" x14ac:dyDescent="0.25">
      <c r="B42" s="5"/>
      <c r="C42" s="5"/>
      <c r="D42" s="5"/>
      <c r="F42" s="12" t="s">
        <v>28</v>
      </c>
      <c r="G42" s="29">
        <f t="shared" ref="G42:R42" si="31">SUM(G40:G41)</f>
        <v>-1671.1533333333439</v>
      </c>
      <c r="H42" s="29">
        <f t="shared" si="31"/>
        <v>-24760.473333333339</v>
      </c>
      <c r="I42" s="29">
        <f t="shared" si="31"/>
        <v>-8340.0233333333399</v>
      </c>
      <c r="J42" s="29">
        <f t="shared" si="31"/>
        <v>1337.3932830932961</v>
      </c>
      <c r="K42" s="29">
        <f t="shared" si="31"/>
        <v>11049.392331849935</v>
      </c>
      <c r="L42" s="29">
        <f t="shared" si="31"/>
        <v>8614.8352390455602</v>
      </c>
      <c r="M42" s="29">
        <f t="shared" si="31"/>
        <v>17301.776464862651</v>
      </c>
      <c r="N42" s="29">
        <f t="shared" si="31"/>
        <v>1146.8813989147955</v>
      </c>
      <c r="O42" s="29">
        <f t="shared" si="31"/>
        <v>7323.1583682089031</v>
      </c>
      <c r="P42" s="29">
        <f t="shared" si="31"/>
        <v>18401.354273933426</v>
      </c>
      <c r="Q42" s="29">
        <f t="shared" si="31"/>
        <v>6324.6147954847465</v>
      </c>
      <c r="R42" s="29">
        <f t="shared" si="31"/>
        <v>34578.73014880377</v>
      </c>
      <c r="S42" s="29">
        <f t="shared" si="24"/>
        <v>71306.486304197053</v>
      </c>
    </row>
    <row r="43" spans="2:20" ht="15" x14ac:dyDescent="0.25">
      <c r="B43" s="5"/>
      <c r="C43" s="5"/>
      <c r="D43" s="5"/>
      <c r="F43" s="6" t="s">
        <v>29</v>
      </c>
      <c r="G43" s="28">
        <f>IF(C$43=0,0,$C43/12)</f>
        <v>0</v>
      </c>
      <c r="H43" s="28">
        <v>0</v>
      </c>
      <c r="I43" s="28">
        <f>IF(C$7=0,0,$C16/12)</f>
        <v>-2246.8801816666669</v>
      </c>
      <c r="J43" s="28">
        <f t="shared" ref="J43:R43" si="32">IF(F$7=0,0,$C16/12)</f>
        <v>-2246.8801816666669</v>
      </c>
      <c r="K43" s="28">
        <f t="shared" si="32"/>
        <v>-2246.8801816666669</v>
      </c>
      <c r="L43" s="28">
        <f t="shared" si="32"/>
        <v>-2246.8801816666669</v>
      </c>
      <c r="M43" s="28">
        <f t="shared" si="32"/>
        <v>-2246.8801816666669</v>
      </c>
      <c r="N43" s="28">
        <f t="shared" si="32"/>
        <v>-2246.8801816666669</v>
      </c>
      <c r="O43" s="28">
        <f t="shared" si="32"/>
        <v>-2246.8801816666669</v>
      </c>
      <c r="P43" s="28">
        <f t="shared" si="32"/>
        <v>-2246.8801816666669</v>
      </c>
      <c r="Q43" s="28">
        <f t="shared" si="32"/>
        <v>-2246.8801816666669</v>
      </c>
      <c r="R43" s="28">
        <f t="shared" si="32"/>
        <v>-2246.8801816666669</v>
      </c>
      <c r="S43" s="28">
        <f t="shared" si="24"/>
        <v>-22468.80181666667</v>
      </c>
    </row>
    <row r="44" spans="2:20" ht="15" x14ac:dyDescent="0.25">
      <c r="B44" s="5"/>
      <c r="C44" s="5"/>
      <c r="D44" s="5"/>
      <c r="F44" s="12" t="s">
        <v>30</v>
      </c>
      <c r="G44" s="29">
        <f t="shared" ref="G44:R44" si="33">SUM(G42:G43)</f>
        <v>-1671.1533333333439</v>
      </c>
      <c r="H44" s="29">
        <f t="shared" si="33"/>
        <v>-24760.473333333339</v>
      </c>
      <c r="I44" s="29">
        <f t="shared" si="33"/>
        <v>-10586.903515000007</v>
      </c>
      <c r="J44" s="29">
        <f t="shared" si="33"/>
        <v>-909.48689857337081</v>
      </c>
      <c r="K44" s="29">
        <f t="shared" si="33"/>
        <v>8802.5121501832673</v>
      </c>
      <c r="L44" s="29">
        <f t="shared" si="33"/>
        <v>6367.9550573788929</v>
      </c>
      <c r="M44" s="29">
        <f t="shared" si="33"/>
        <v>15054.896283195983</v>
      </c>
      <c r="N44" s="29">
        <f t="shared" si="33"/>
        <v>-1099.9987827518714</v>
      </c>
      <c r="O44" s="29">
        <f t="shared" si="33"/>
        <v>5076.2781865422367</v>
      </c>
      <c r="P44" s="29">
        <f t="shared" si="33"/>
        <v>16154.474092266759</v>
      </c>
      <c r="Q44" s="29">
        <f t="shared" si="33"/>
        <v>4077.7346138180797</v>
      </c>
      <c r="R44" s="29">
        <f t="shared" si="33"/>
        <v>32331.849967137103</v>
      </c>
      <c r="S44" s="29">
        <f t="shared" si="24"/>
        <v>48837.684487530394</v>
      </c>
    </row>
    <row r="45" spans="2:20" ht="14.25" x14ac:dyDescent="0.2">
      <c r="F45" s="1"/>
      <c r="G45" s="17"/>
      <c r="H45" s="17"/>
      <c r="I45" s="17"/>
      <c r="J45" s="17"/>
      <c r="K45" s="17"/>
      <c r="L45" s="1"/>
      <c r="M45" s="1"/>
      <c r="N45" s="1"/>
      <c r="O45" s="1"/>
      <c r="P45" s="1"/>
      <c r="Q45" s="1"/>
      <c r="R45" s="1"/>
      <c r="S45" s="1"/>
    </row>
    <row r="46" spans="2:20" ht="12.75" x14ac:dyDescent="0.2">
      <c r="F46" s="18" t="s">
        <v>31</v>
      </c>
      <c r="G46" s="19">
        <f t="shared" ref="G46:S46" si="34">IF(G33=0,0,-G33/G32)</f>
        <v>0.78585563614809362</v>
      </c>
      <c r="H46" s="19">
        <f t="shared" si="34"/>
        <v>0.87043564623765113</v>
      </c>
      <c r="I46" s="19">
        <f t="shared" si="34"/>
        <v>0.6858032393272373</v>
      </c>
      <c r="J46" s="19">
        <f t="shared" si="34"/>
        <v>0.6969820753755025</v>
      </c>
      <c r="K46" s="19">
        <f t="shared" si="34"/>
        <v>0.6969820753755025</v>
      </c>
      <c r="L46" s="19">
        <f t="shared" si="34"/>
        <v>0.6969820753755025</v>
      </c>
      <c r="M46" s="19">
        <f t="shared" si="34"/>
        <v>0.6969820753755025</v>
      </c>
      <c r="N46" s="19">
        <f t="shared" si="34"/>
        <v>0.6969820753755025</v>
      </c>
      <c r="O46" s="19">
        <f t="shared" si="34"/>
        <v>0.6969820753755025</v>
      </c>
      <c r="P46" s="19">
        <f t="shared" si="34"/>
        <v>0.69698207537550239</v>
      </c>
      <c r="Q46" s="19">
        <f t="shared" si="34"/>
        <v>0.6969820753755025</v>
      </c>
      <c r="R46" s="19">
        <f t="shared" si="34"/>
        <v>0.6969820753755025</v>
      </c>
      <c r="S46" s="19">
        <f t="shared" si="34"/>
        <v>0.71479844548242166</v>
      </c>
    </row>
    <row r="47" spans="2:20" ht="12.75" x14ac:dyDescent="0.2">
      <c r="F47" s="18" t="s">
        <v>32</v>
      </c>
      <c r="G47" s="19">
        <f t="shared" ref="G47:S47" si="35">IF(G34=0,0,G34/G32)</f>
        <v>0.21414436385190633</v>
      </c>
      <c r="H47" s="19">
        <f t="shared" si="35"/>
        <v>0.12956435376234884</v>
      </c>
      <c r="I47" s="19">
        <f t="shared" si="35"/>
        <v>0.31419676067276264</v>
      </c>
      <c r="J47" s="19">
        <f t="shared" si="35"/>
        <v>0.30301792462449745</v>
      </c>
      <c r="K47" s="19">
        <f t="shared" si="35"/>
        <v>0.3030179246244975</v>
      </c>
      <c r="L47" s="19">
        <f t="shared" si="35"/>
        <v>0.3030179246244975</v>
      </c>
      <c r="M47" s="19">
        <f t="shared" si="35"/>
        <v>0.30301792462449756</v>
      </c>
      <c r="N47" s="19">
        <f t="shared" si="35"/>
        <v>0.3030179246244975</v>
      </c>
      <c r="O47" s="19">
        <f t="shared" si="35"/>
        <v>0.3030179246244975</v>
      </c>
      <c r="P47" s="19">
        <f t="shared" si="35"/>
        <v>0.30301792462449756</v>
      </c>
      <c r="Q47" s="19">
        <f t="shared" si="35"/>
        <v>0.30301792462449756</v>
      </c>
      <c r="R47" s="19">
        <f t="shared" si="35"/>
        <v>0.3030179246244975</v>
      </c>
      <c r="S47" s="19">
        <f t="shared" si="35"/>
        <v>0.28520155451757839</v>
      </c>
    </row>
    <row r="48" spans="2:20" ht="12.75" x14ac:dyDescent="0.2">
      <c r="F48" s="18" t="s">
        <v>34</v>
      </c>
      <c r="G48" s="19">
        <f t="shared" ref="G48:S48" si="36">IF(G32=0,0,G40/G32)</f>
        <v>-7.9952875532979077E-3</v>
      </c>
      <c r="H48" s="19">
        <f t="shared" si="36"/>
        <v>-0.21925847834940701</v>
      </c>
      <c r="I48" s="19">
        <f t="shared" si="36"/>
        <v>-8.208853873630742E-2</v>
      </c>
      <c r="J48" s="19">
        <f t="shared" si="36"/>
        <v>1.1996074360924423E-2</v>
      </c>
      <c r="K48" s="19">
        <f t="shared" si="36"/>
        <v>6.8206523884540682E-2</v>
      </c>
      <c r="L48" s="19">
        <f t="shared" si="36"/>
        <v>5.6259064907187052E-2</v>
      </c>
      <c r="M48" s="19">
        <f t="shared" si="36"/>
        <v>9.4175094839935317E-2</v>
      </c>
      <c r="N48" s="19">
        <f t="shared" si="36"/>
        <v>1.0623041001027816E-2</v>
      </c>
      <c r="O48" s="19">
        <f t="shared" si="36"/>
        <v>4.9412887265883589E-2</v>
      </c>
      <c r="P48" s="19">
        <f t="shared" si="36"/>
        <v>9.8159495689222789E-2</v>
      </c>
      <c r="Q48" s="19">
        <f t="shared" si="36"/>
        <v>4.3854324016373597E-2</v>
      </c>
      <c r="R48" s="19">
        <f t="shared" si="36"/>
        <v>0.14305839405986739</v>
      </c>
      <c r="S48" s="19">
        <f t="shared" si="36"/>
        <v>3.9211024897209831E-2</v>
      </c>
    </row>
    <row r="49" spans="6:19" ht="12.75" x14ac:dyDescent="0.2">
      <c r="F49" s="18" t="s">
        <v>36</v>
      </c>
      <c r="G49" s="23">
        <f>-SUM(S35:S37)/T34</f>
        <v>1541291.0379943477</v>
      </c>
    </row>
    <row r="50" spans="6:19" ht="12.75" x14ac:dyDescent="0.2">
      <c r="F50" s="24" t="s">
        <v>37</v>
      </c>
      <c r="G50" s="25">
        <f t="shared" ref="G50:S50" si="37">(G35+G36+G37+G39+G41)</f>
        <v>-39233.143333333333</v>
      </c>
      <c r="H50" s="25">
        <f t="shared" si="37"/>
        <v>-39233.143333333333</v>
      </c>
      <c r="I50" s="25">
        <f t="shared" si="37"/>
        <v>-39233.143333333333</v>
      </c>
      <c r="J50" s="25">
        <f t="shared" si="37"/>
        <v>-39233.143333333333</v>
      </c>
      <c r="K50" s="25">
        <f t="shared" si="37"/>
        <v>-39233.143333333333</v>
      </c>
      <c r="L50" s="25">
        <f t="shared" si="37"/>
        <v>-39233.143333333333</v>
      </c>
      <c r="M50" s="25">
        <f t="shared" si="37"/>
        <v>-39233.143333333333</v>
      </c>
      <c r="N50" s="25">
        <f t="shared" si="37"/>
        <v>-39233.143333333333</v>
      </c>
      <c r="O50" s="25">
        <f t="shared" si="37"/>
        <v>-39233.143333333333</v>
      </c>
      <c r="P50" s="25">
        <f t="shared" si="37"/>
        <v>-39233.143333333333</v>
      </c>
      <c r="Q50" s="25">
        <f t="shared" si="37"/>
        <v>-39233.143333333333</v>
      </c>
      <c r="R50" s="25">
        <f t="shared" si="37"/>
        <v>-39233.143333333333</v>
      </c>
      <c r="S50" s="25">
        <f t="shared" si="37"/>
        <v>-470797.72</v>
      </c>
    </row>
  </sheetData>
  <mergeCells count="4">
    <mergeCell ref="G2:S2"/>
    <mergeCell ref="B4:C4"/>
    <mergeCell ref="B19:C19"/>
    <mergeCell ref="G29:S29"/>
  </mergeCells>
  <conditionalFormatting sqref="C5:C17">
    <cfRule type="beginsWith" dxfId="2" priority="2" operator="beginsWith" text="-">
      <formula>LEFT((C5),LEN("-"))=("-")</formula>
    </cfRule>
  </conditionalFormatting>
  <conditionalFormatting sqref="G5:S17 G32:S44">
    <cfRule type="beginsWith" dxfId="1" priority="1" operator="beginsWith" text="-">
      <formula>LEFT((G5),LEN("-"))=("-")</formula>
    </cfRule>
  </conditionalFormatting>
  <conditionalFormatting sqref="G5:S17">
    <cfRule type="notContainsBlanks" dxfId="0" priority="3">
      <formula>LEN(TRIM(G5))&gt;0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Rinaldi</dc:creator>
  <cp:lastModifiedBy>Alessandro Rinaldi</cp:lastModifiedBy>
  <dcterms:created xsi:type="dcterms:W3CDTF">2023-07-02T08:35:35Z</dcterms:created>
  <dcterms:modified xsi:type="dcterms:W3CDTF">2023-07-02T09:27:42Z</dcterms:modified>
</cp:coreProperties>
</file>